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tc\dfs\YCA - Secrétariat Général de l'AC\IVRY\ARCHIVE\RAPPORTS AC - ANNEE 2018\26 ET 27 JUILLET\"/>
    </mc:Choice>
  </mc:AlternateContent>
  <bookViews>
    <workbookView xWindow="0" yWindow="0" windowWidth="28800" windowHeight="13110"/>
  </bookViews>
  <sheets>
    <sheet name="Fret" sheetId="1" r:id="rId1"/>
    <sheet name="Passager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J14" i="3"/>
  <c r="J12" i="3"/>
  <c r="K12" i="3" s="1"/>
  <c r="L12" i="3" s="1"/>
  <c r="I14" i="3"/>
  <c r="K14" i="3" s="1"/>
  <c r="L14" i="3" s="1"/>
  <c r="I12" i="3"/>
  <c r="J21" i="3"/>
  <c r="J19" i="3"/>
  <c r="I21" i="3"/>
  <c r="I19" i="3"/>
  <c r="I35" i="3"/>
  <c r="I33" i="3"/>
  <c r="K33" i="3" s="1"/>
  <c r="L33" i="3" s="1"/>
  <c r="J35" i="3"/>
  <c r="J42" i="3" s="1"/>
  <c r="J33" i="3"/>
  <c r="J28" i="3"/>
  <c r="J26" i="3"/>
  <c r="K26" i="3" s="1"/>
  <c r="L26" i="3" s="1"/>
  <c r="I28" i="3"/>
  <c r="I26" i="3"/>
  <c r="D28" i="3"/>
  <c r="C28" i="3"/>
  <c r="E28" i="3" s="1"/>
  <c r="F28" i="3" s="1"/>
  <c r="C26" i="3"/>
  <c r="C21" i="3"/>
  <c r="C19" i="3"/>
  <c r="D21" i="3"/>
  <c r="D35" i="3" s="1"/>
  <c r="D19" i="3"/>
  <c r="C14" i="3"/>
  <c r="D14" i="3"/>
  <c r="D12" i="3"/>
  <c r="D33" i="3" s="1"/>
  <c r="C12" i="3"/>
  <c r="C33" i="3" s="1"/>
  <c r="J41" i="3"/>
  <c r="I41" i="3"/>
  <c r="I40" i="3"/>
  <c r="D34" i="3"/>
  <c r="C34" i="3"/>
  <c r="K35" i="3"/>
  <c r="L35" i="3" s="1"/>
  <c r="K34" i="3"/>
  <c r="L34" i="3" s="1"/>
  <c r="J30" i="3"/>
  <c r="K28" i="3"/>
  <c r="L28" i="3" s="1"/>
  <c r="K27" i="3"/>
  <c r="L27" i="3" s="1"/>
  <c r="I23" i="3"/>
  <c r="K20" i="3"/>
  <c r="L20" i="3" s="1"/>
  <c r="K13" i="3"/>
  <c r="L13" i="3" s="1"/>
  <c r="E27" i="3"/>
  <c r="F27" i="3" s="1"/>
  <c r="E26" i="3"/>
  <c r="F26" i="3" s="1"/>
  <c r="C23" i="3"/>
  <c r="E20" i="3"/>
  <c r="F20" i="3" s="1"/>
  <c r="E19" i="3"/>
  <c r="F19" i="3" s="1"/>
  <c r="E14" i="3"/>
  <c r="F14" i="3" s="1"/>
  <c r="D16" i="3"/>
  <c r="C16" i="3"/>
  <c r="E13" i="3"/>
  <c r="F13" i="3" s="1"/>
  <c r="E12" i="3"/>
  <c r="F12" i="3" s="1"/>
  <c r="J53" i="1"/>
  <c r="I53" i="1"/>
  <c r="K53" i="1" s="1"/>
  <c r="L53" i="1" s="1"/>
  <c r="J52" i="1"/>
  <c r="I52" i="1"/>
  <c r="J51" i="1"/>
  <c r="I51" i="1"/>
  <c r="K51" i="1" s="1"/>
  <c r="L51" i="1" s="1"/>
  <c r="J50" i="1"/>
  <c r="I50" i="1"/>
  <c r="J47" i="1"/>
  <c r="I47" i="1"/>
  <c r="J46" i="1"/>
  <c r="K46" i="1" s="1"/>
  <c r="L46" i="1" s="1"/>
  <c r="I46" i="1"/>
  <c r="K44" i="1"/>
  <c r="L44" i="1" s="1"/>
  <c r="K43" i="1"/>
  <c r="L43" i="1" s="1"/>
  <c r="K42" i="1"/>
  <c r="L42" i="1" s="1"/>
  <c r="K41" i="1"/>
  <c r="L41" i="1" s="1"/>
  <c r="J38" i="1"/>
  <c r="I38" i="1"/>
  <c r="J37" i="1"/>
  <c r="I37" i="1"/>
  <c r="K35" i="1"/>
  <c r="L35" i="1" s="1"/>
  <c r="K34" i="1"/>
  <c r="L34" i="1" s="1"/>
  <c r="K33" i="1"/>
  <c r="L33" i="1" s="1"/>
  <c r="K32" i="1"/>
  <c r="L32" i="1" s="1"/>
  <c r="J29" i="1"/>
  <c r="I29" i="1"/>
  <c r="J28" i="1"/>
  <c r="I28" i="1"/>
  <c r="K26" i="1"/>
  <c r="L26" i="1" s="1"/>
  <c r="K25" i="1"/>
  <c r="L25" i="1" s="1"/>
  <c r="K24" i="1"/>
  <c r="L24" i="1" s="1"/>
  <c r="K23" i="1"/>
  <c r="L23" i="1" s="1"/>
  <c r="J20" i="1"/>
  <c r="I20" i="1"/>
  <c r="J19" i="1"/>
  <c r="I19" i="1"/>
  <c r="K17" i="1"/>
  <c r="L17" i="1" s="1"/>
  <c r="K16" i="1"/>
  <c r="L16" i="1" s="1"/>
  <c r="K15" i="1"/>
  <c r="L15" i="1" s="1"/>
  <c r="K14" i="1"/>
  <c r="L14" i="1" s="1"/>
  <c r="I42" i="3" l="1"/>
  <c r="K42" i="3" s="1"/>
  <c r="L42" i="3" s="1"/>
  <c r="I16" i="3"/>
  <c r="K21" i="3"/>
  <c r="L21" i="3" s="1"/>
  <c r="J37" i="3"/>
  <c r="K47" i="1"/>
  <c r="L47" i="1" s="1"/>
  <c r="C30" i="3"/>
  <c r="C35" i="3"/>
  <c r="E21" i="3"/>
  <c r="F21" i="3" s="1"/>
  <c r="K19" i="3"/>
  <c r="L19" i="3" s="1"/>
  <c r="J40" i="3"/>
  <c r="K40" i="3" s="1"/>
  <c r="L40" i="3" s="1"/>
  <c r="E33" i="3"/>
  <c r="F33" i="3" s="1"/>
  <c r="E16" i="3"/>
  <c r="F16" i="3" s="1"/>
  <c r="E35" i="3"/>
  <c r="F35" i="3" s="1"/>
  <c r="C37" i="3"/>
  <c r="K41" i="3"/>
  <c r="L41" i="3" s="1"/>
  <c r="E34" i="3"/>
  <c r="F34" i="3" s="1"/>
  <c r="J44" i="3"/>
  <c r="I37" i="3"/>
  <c r="K37" i="3" s="1"/>
  <c r="L37" i="3" s="1"/>
  <c r="I30" i="3"/>
  <c r="K30" i="3" s="1"/>
  <c r="L30" i="3" s="1"/>
  <c r="J23" i="3"/>
  <c r="K23" i="3" s="1"/>
  <c r="L23" i="3" s="1"/>
  <c r="J16" i="3"/>
  <c r="D37" i="3"/>
  <c r="D30" i="3"/>
  <c r="D23" i="3"/>
  <c r="E23" i="3" s="1"/>
  <c r="F23" i="3" s="1"/>
  <c r="I55" i="1"/>
  <c r="K50" i="1"/>
  <c r="L50" i="1" s="1"/>
  <c r="K52" i="1"/>
  <c r="L52" i="1" s="1"/>
  <c r="I56" i="1"/>
  <c r="J55" i="1"/>
  <c r="K55" i="1" s="1"/>
  <c r="L55" i="1" s="1"/>
  <c r="J56" i="1"/>
  <c r="K37" i="1"/>
  <c r="L37" i="1" s="1"/>
  <c r="K38" i="1"/>
  <c r="L38" i="1" s="1"/>
  <c r="K28" i="1"/>
  <c r="L28" i="1" s="1"/>
  <c r="K29" i="1"/>
  <c r="L29" i="1" s="1"/>
  <c r="K20" i="1"/>
  <c r="L20" i="1" s="1"/>
  <c r="K19" i="1"/>
  <c r="L19" i="1" s="1"/>
  <c r="D44" i="1"/>
  <c r="D43" i="1"/>
  <c r="D42" i="1"/>
  <c r="D47" i="1" s="1"/>
  <c r="D41" i="1"/>
  <c r="C44" i="1"/>
  <c r="C43" i="1"/>
  <c r="C42" i="1"/>
  <c r="C46" i="1" s="1"/>
  <c r="C41" i="1"/>
  <c r="E44" i="1"/>
  <c r="F44" i="1" s="1"/>
  <c r="E43" i="1"/>
  <c r="F43" i="1" s="1"/>
  <c r="D38" i="1"/>
  <c r="C38" i="1"/>
  <c r="E38" i="1" s="1"/>
  <c r="F38" i="1" s="1"/>
  <c r="D37" i="1"/>
  <c r="C37" i="1"/>
  <c r="E35" i="1"/>
  <c r="F35" i="1" s="1"/>
  <c r="E34" i="1"/>
  <c r="F34" i="1" s="1"/>
  <c r="E33" i="1"/>
  <c r="F33" i="1" s="1"/>
  <c r="E32" i="1"/>
  <c r="F32" i="1" s="1"/>
  <c r="D29" i="1"/>
  <c r="C29" i="1"/>
  <c r="D28" i="1"/>
  <c r="C28" i="1"/>
  <c r="E26" i="1"/>
  <c r="F26" i="1" s="1"/>
  <c r="E25" i="1"/>
  <c r="F25" i="1" s="1"/>
  <c r="E24" i="1"/>
  <c r="F24" i="1" s="1"/>
  <c r="E23" i="1"/>
  <c r="F23" i="1" s="1"/>
  <c r="D20" i="1"/>
  <c r="C20" i="1"/>
  <c r="D19" i="1"/>
  <c r="C19" i="1"/>
  <c r="E17" i="1"/>
  <c r="F17" i="1" s="1"/>
  <c r="E16" i="1"/>
  <c r="F16" i="1" s="1"/>
  <c r="E15" i="1"/>
  <c r="F15" i="1" s="1"/>
  <c r="E14" i="1"/>
  <c r="F14" i="1" s="1"/>
  <c r="E30" i="3" l="1"/>
  <c r="F30" i="3" s="1"/>
  <c r="D46" i="1"/>
  <c r="I44" i="3"/>
  <c r="E37" i="1"/>
  <c r="F37" i="1" s="1"/>
  <c r="E42" i="1"/>
  <c r="F42" i="1" s="1"/>
  <c r="K16" i="3"/>
  <c r="L16" i="3" s="1"/>
  <c r="K44" i="3"/>
  <c r="L44" i="3" s="1"/>
  <c r="E37" i="3"/>
  <c r="F37" i="3" s="1"/>
  <c r="K56" i="1"/>
  <c r="L56" i="1" s="1"/>
  <c r="C47" i="1"/>
  <c r="E47" i="1" s="1"/>
  <c r="F47" i="1" s="1"/>
  <c r="E41" i="1"/>
  <c r="F41" i="1" s="1"/>
  <c r="E46" i="1"/>
  <c r="F46" i="1" s="1"/>
  <c r="E28" i="1"/>
  <c r="F28" i="1" s="1"/>
  <c r="E29" i="1"/>
  <c r="F29" i="1" s="1"/>
  <c r="E19" i="1"/>
  <c r="F19" i="1" s="1"/>
  <c r="E20" i="1"/>
  <c r="F20" i="1" s="1"/>
  <c r="D3" i="3"/>
  <c r="E3" i="3" s="1"/>
  <c r="F3" i="3" s="1"/>
  <c r="D5" i="3"/>
  <c r="D7" i="3" s="1"/>
  <c r="C5" i="3"/>
  <c r="C7" i="3" s="1"/>
  <c r="C3" i="3"/>
  <c r="E5" i="3"/>
  <c r="F5" i="3" s="1"/>
  <c r="E4" i="3"/>
  <c r="F4" i="3" s="1"/>
  <c r="E9" i="1"/>
  <c r="F9" i="1" s="1"/>
  <c r="D9" i="1"/>
  <c r="C9" i="1"/>
  <c r="D8" i="1"/>
  <c r="E8" i="1" s="1"/>
  <c r="F8" i="1" s="1"/>
  <c r="C8" i="1"/>
  <c r="E4" i="1"/>
  <c r="F4" i="1" s="1"/>
  <c r="E5" i="1"/>
  <c r="F5" i="1" s="1"/>
  <c r="E6" i="1"/>
  <c r="F6" i="1" s="1"/>
  <c r="E3" i="1"/>
  <c r="F3" i="1" s="1"/>
  <c r="E7" i="3" l="1"/>
  <c r="F7" i="3" s="1"/>
</calcChain>
</file>

<file path=xl/sharedStrings.xml><?xml version="1.0" encoding="utf-8"?>
<sst xmlns="http://schemas.openxmlformats.org/spreadsheetml/2006/main" count="202" uniqueCount="27">
  <si>
    <t>CA Fret</t>
  </si>
  <si>
    <t>Nb ML</t>
  </si>
  <si>
    <t>Manutention</t>
  </si>
  <si>
    <t>Frais commerciaux</t>
  </si>
  <si>
    <t>V1</t>
  </si>
  <si>
    <t>V2</t>
  </si>
  <si>
    <t>Ecarts en volume</t>
  </si>
  <si>
    <t>Ecarts en %</t>
  </si>
  <si>
    <t>Manutention / ML</t>
  </si>
  <si>
    <t>Frais commerciaux / ML</t>
  </si>
  <si>
    <t>CA Passagers</t>
  </si>
  <si>
    <t>Nb Passagers</t>
  </si>
  <si>
    <t>Frais commerciaux / Pax</t>
  </si>
  <si>
    <t>Lot 1</t>
  </si>
  <si>
    <t>Lot 2</t>
  </si>
  <si>
    <t>Lot 3</t>
  </si>
  <si>
    <t>Tous lots</t>
  </si>
  <si>
    <t>Lot 4</t>
  </si>
  <si>
    <t>Lot 5</t>
  </si>
  <si>
    <t>LA MERIDIONALE</t>
  </si>
  <si>
    <t>CORSICA LINEA</t>
  </si>
  <si>
    <t>LOT 1</t>
  </si>
  <si>
    <t>LOT 2</t>
  </si>
  <si>
    <t>LOT 4</t>
  </si>
  <si>
    <t>TOUS LOTS</t>
  </si>
  <si>
    <t>LOT 3</t>
  </si>
  <si>
    <t>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</si>
</sst>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3" xfId="0" applyNumberFormat="1" applyBorder="1"/>
    <xf numFmtId="10" fontId="0" fillId="0" borderId="3" xfId="0" applyNumberFormat="1" applyBorder="1" applyAlignment="1">
      <alignment horizontal="center"/>
    </xf>
    <xf numFmtId="3" fontId="0" fillId="0" borderId="4" xfId="0" applyNumberFormat="1" applyBorder="1"/>
    <xf numFmtId="10" fontId="0" fillId="0" borderId="4" xfId="0" applyNumberFormat="1" applyBorder="1" applyAlignment="1">
      <alignment horizontal="center"/>
    </xf>
    <xf numFmtId="0" fontId="0" fillId="0" borderId="5" xfId="0" applyBorder="1"/>
    <xf numFmtId="3" fontId="0" fillId="0" borderId="2" xfId="0" applyNumberFormat="1" applyBorder="1"/>
    <xf numFmtId="10" fontId="0" fillId="0" borderId="2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1" xfId="0" applyBorder="1"/>
    <xf numFmtId="4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0" fontId="0" fillId="0" borderId="0" xfId="0" applyNumberFormat="1"/>
    <xf numFmtId="3" fontId="0" fillId="0" borderId="0" xfId="0" applyNumberForma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0"/>
  <sheetViews>
    <sheetView showGridLines="0" tabSelected="1" topLeftCell="A40" workbookViewId="0">
      <selection activeCell="E49" sqref="E49"/>
    </sheetView>
  </sheetViews>
  <sheetFormatPr baseColWidth="10" defaultRowHeight="14.5" x14ac:dyDescent="0.35"/>
  <cols>
    <col min="2" max="2" width="22" bestFit="1" customWidth="1"/>
    <col min="6" max="6" width="11.453125" style="2"/>
    <col min="8" max="8" width="22" bestFit="1" customWidth="1"/>
  </cols>
  <sheetData>
    <row r="2" spans="2:12" s="1" customFormat="1" ht="29" x14ac:dyDescent="0.35">
      <c r="C2" s="3" t="s">
        <v>4</v>
      </c>
      <c r="D2" s="3" t="s">
        <v>5</v>
      </c>
      <c r="E2" s="4" t="s">
        <v>6</v>
      </c>
      <c r="F2" s="3" t="s">
        <v>7</v>
      </c>
    </row>
    <row r="3" spans="2:12" x14ac:dyDescent="0.35">
      <c r="B3" s="9" t="s">
        <v>0</v>
      </c>
      <c r="C3" s="10">
        <v>25798516</v>
      </c>
      <c r="D3" s="10">
        <v>27499042</v>
      </c>
      <c r="E3" s="10">
        <f>+D3-C3</f>
        <v>1700526</v>
      </c>
      <c r="F3" s="11">
        <f>E3/C3</f>
        <v>6.5915651892535218E-2</v>
      </c>
      <c r="H3" s="19"/>
      <c r="I3" s="19"/>
    </row>
    <row r="4" spans="2:12" x14ac:dyDescent="0.35">
      <c r="B4" s="12" t="s">
        <v>1</v>
      </c>
      <c r="C4" s="5">
        <v>621894</v>
      </c>
      <c r="D4" s="5">
        <v>661520</v>
      </c>
      <c r="E4" s="5">
        <f t="shared" ref="E4:E6" si="0">+D4-C4</f>
        <v>39626</v>
      </c>
      <c r="F4" s="6">
        <f t="shared" ref="F4:F9" si="1">E4/C4</f>
        <v>6.3718254236252478E-2</v>
      </c>
      <c r="H4" s="19"/>
      <c r="I4" s="19"/>
    </row>
    <row r="5" spans="2:12" x14ac:dyDescent="0.35">
      <c r="B5" s="12" t="s">
        <v>2</v>
      </c>
      <c r="C5" s="5">
        <v>9779195</v>
      </c>
      <c r="D5" s="5">
        <v>10447225</v>
      </c>
      <c r="E5" s="5">
        <f t="shared" si="0"/>
        <v>668030</v>
      </c>
      <c r="F5" s="6">
        <f t="shared" si="1"/>
        <v>6.8311348735759947E-2</v>
      </c>
      <c r="H5" s="19"/>
      <c r="I5" s="19"/>
    </row>
    <row r="6" spans="2:12" x14ac:dyDescent="0.35">
      <c r="B6" s="13" t="s">
        <v>3</v>
      </c>
      <c r="C6" s="7">
        <v>1556477</v>
      </c>
      <c r="D6" s="7">
        <v>1676479</v>
      </c>
      <c r="E6" s="7">
        <f t="shared" si="0"/>
        <v>120002</v>
      </c>
      <c r="F6" s="8">
        <f t="shared" si="1"/>
        <v>7.7098473025942568E-2</v>
      </c>
      <c r="H6" s="19"/>
      <c r="I6" s="19"/>
    </row>
    <row r="8" spans="2:12" x14ac:dyDescent="0.35">
      <c r="B8" s="14" t="s">
        <v>8</v>
      </c>
      <c r="C8" s="15">
        <f>C5/C4</f>
        <v>15.724858255586964</v>
      </c>
      <c r="D8" s="15">
        <f>D5/D4</f>
        <v>15.792757588583868</v>
      </c>
      <c r="E8" s="15">
        <f>+D1:D8-C8</f>
        <v>6.7899332996903539E-2</v>
      </c>
      <c r="F8" s="16">
        <f t="shared" si="1"/>
        <v>4.3179615290191405E-3</v>
      </c>
    </row>
    <row r="9" spans="2:12" x14ac:dyDescent="0.35">
      <c r="B9" s="14" t="s">
        <v>9</v>
      </c>
      <c r="C9" s="15">
        <f>C6/C4</f>
        <v>2.5028011204481793</v>
      </c>
      <c r="D9" s="15">
        <f>D6/D4</f>
        <v>2.5342831660418432</v>
      </c>
      <c r="E9" s="15">
        <f>+D2:D9-C9</f>
        <v>3.1482045593663965E-2</v>
      </c>
      <c r="F9" s="16">
        <f t="shared" si="1"/>
        <v>1.2578724428582022E-2</v>
      </c>
    </row>
    <row r="11" spans="2:12" x14ac:dyDescent="0.35">
      <c r="B11" s="20" t="s">
        <v>19</v>
      </c>
      <c r="C11" s="21"/>
      <c r="D11" s="21"/>
      <c r="E11" s="21"/>
      <c r="F11" s="22"/>
      <c r="H11" s="20" t="s">
        <v>20</v>
      </c>
      <c r="I11" s="21"/>
      <c r="J11" s="21"/>
      <c r="K11" s="21"/>
      <c r="L11" s="22"/>
    </row>
    <row r="13" spans="2:12" ht="29" x14ac:dyDescent="0.35">
      <c r="B13" s="17" t="s">
        <v>13</v>
      </c>
      <c r="C13" s="3" t="s">
        <v>4</v>
      </c>
      <c r="D13" s="3" t="s">
        <v>5</v>
      </c>
      <c r="E13" s="4" t="s">
        <v>6</v>
      </c>
      <c r="F13" s="3" t="s">
        <v>7</v>
      </c>
      <c r="H13" s="17" t="s">
        <v>13</v>
      </c>
      <c r="I13" s="3" t="s">
        <v>4</v>
      </c>
      <c r="J13" s="3" t="s">
        <v>5</v>
      </c>
      <c r="K13" s="4" t="s">
        <v>6</v>
      </c>
      <c r="L13" s="3" t="s">
        <v>7</v>
      </c>
    </row>
    <row r="14" spans="2:12" x14ac:dyDescent="0.35">
      <c r="B14" s="9" t="s">
        <v>0</v>
      </c>
      <c r="C14" s="10">
        <v>4225595</v>
      </c>
      <c r="D14" s="10">
        <v>4549595</v>
      </c>
      <c r="E14" s="10">
        <f>+D14-C14</f>
        <v>324000</v>
      </c>
      <c r="F14" s="11">
        <f>E14/C14</f>
        <v>7.6675592431361739E-2</v>
      </c>
      <c r="H14" s="9" t="s">
        <v>0</v>
      </c>
      <c r="I14" s="10">
        <v>4468508</v>
      </c>
      <c r="J14" s="10">
        <v>5287512</v>
      </c>
      <c r="K14" s="10">
        <f>+J14-I14</f>
        <v>819004</v>
      </c>
      <c r="L14" s="11">
        <f>K14/I14</f>
        <v>0.18328354788667717</v>
      </c>
    </row>
    <row r="15" spans="2:12" x14ac:dyDescent="0.35">
      <c r="B15" s="12" t="s">
        <v>1</v>
      </c>
      <c r="C15" s="5">
        <v>102745</v>
      </c>
      <c r="D15" s="5">
        <v>110745</v>
      </c>
      <c r="E15" s="5">
        <f t="shared" ref="E15:E17" si="2">+D15-C15</f>
        <v>8000</v>
      </c>
      <c r="F15" s="6">
        <f t="shared" ref="F15:F17" si="3">E15/C15</f>
        <v>7.7862669716287899E-2</v>
      </c>
      <c r="H15" s="12" t="s">
        <v>1</v>
      </c>
      <c r="I15" s="5">
        <v>106475</v>
      </c>
      <c r="J15" s="5">
        <v>125893</v>
      </c>
      <c r="K15" s="5">
        <f t="shared" ref="K15:K17" si="4">+J15-I15</f>
        <v>19418</v>
      </c>
      <c r="L15" s="6">
        <f t="shared" ref="L15:L17" si="5">K15/I15</f>
        <v>0.18237144869687721</v>
      </c>
    </row>
    <row r="16" spans="2:12" x14ac:dyDescent="0.35">
      <c r="B16" s="12" t="s">
        <v>2</v>
      </c>
      <c r="C16" s="5">
        <v>1376054</v>
      </c>
      <c r="D16" s="5">
        <v>1550428</v>
      </c>
      <c r="E16" s="5">
        <f t="shared" si="2"/>
        <v>174374</v>
      </c>
      <c r="F16" s="6">
        <f t="shared" si="3"/>
        <v>0.12672031766195221</v>
      </c>
      <c r="H16" s="12" t="s">
        <v>2</v>
      </c>
      <c r="I16" s="5">
        <v>1701779</v>
      </c>
      <c r="J16" s="5">
        <v>2010362</v>
      </c>
      <c r="K16" s="5">
        <f t="shared" si="4"/>
        <v>308583</v>
      </c>
      <c r="L16" s="6">
        <f t="shared" si="5"/>
        <v>0.1813296556133317</v>
      </c>
    </row>
    <row r="17" spans="2:12" x14ac:dyDescent="0.35">
      <c r="B17" s="13" t="s">
        <v>3</v>
      </c>
      <c r="C17" s="7">
        <v>293468</v>
      </c>
      <c r="D17" s="7">
        <v>332235</v>
      </c>
      <c r="E17" s="7">
        <f t="shared" si="2"/>
        <v>38767</v>
      </c>
      <c r="F17" s="8">
        <f t="shared" si="3"/>
        <v>0.13209958155574031</v>
      </c>
      <c r="H17" s="13" t="s">
        <v>3</v>
      </c>
      <c r="I17" s="7">
        <v>297868</v>
      </c>
      <c r="J17" s="7">
        <v>352063</v>
      </c>
      <c r="K17" s="7">
        <f t="shared" si="4"/>
        <v>54195</v>
      </c>
      <c r="L17" s="8">
        <f t="shared" si="5"/>
        <v>0.18194300831240684</v>
      </c>
    </row>
    <row r="18" spans="2:12" x14ac:dyDescent="0.35">
      <c r="L18" s="2"/>
    </row>
    <row r="19" spans="2:12" x14ac:dyDescent="0.35">
      <c r="B19" s="14" t="s">
        <v>8</v>
      </c>
      <c r="C19" s="15">
        <f>C16/C15</f>
        <v>13.392904764222104</v>
      </c>
      <c r="D19" s="15">
        <f>D16/D15</f>
        <v>13.999981940493928</v>
      </c>
      <c r="E19" s="15">
        <f>+D12:D19-C19</f>
        <v>0.60707717627182411</v>
      </c>
      <c r="F19" s="16">
        <f t="shared" ref="F19:F20" si="6">E19/C19</f>
        <v>4.5328267986611402E-2</v>
      </c>
      <c r="H19" s="14" t="s">
        <v>8</v>
      </c>
      <c r="I19" s="15">
        <f>I16/I15</f>
        <v>15.982897393754403</v>
      </c>
      <c r="J19" s="15">
        <f>J16/J15</f>
        <v>15.968814787160525</v>
      </c>
      <c r="K19" s="15">
        <f>+J12:J19-I19</f>
        <v>-1.40826065938775E-2</v>
      </c>
      <c r="L19" s="16">
        <f t="shared" ref="L19:L20" si="7">K19/I19</f>
        <v>-8.8110473632775274E-4</v>
      </c>
    </row>
    <row r="20" spans="2:12" x14ac:dyDescent="0.35">
      <c r="B20" s="14" t="s">
        <v>9</v>
      </c>
      <c r="C20" s="15">
        <f>C17/C15</f>
        <v>2.8562752445374469</v>
      </c>
      <c r="D20" s="15">
        <f>D17/D15</f>
        <v>3</v>
      </c>
      <c r="E20" s="15">
        <f>+D13:D20-C20</f>
        <v>0.14372475546255314</v>
      </c>
      <c r="F20" s="16">
        <f t="shared" si="6"/>
        <v>5.0318944484577618E-2</v>
      </c>
      <c r="H20" s="14" t="s">
        <v>9</v>
      </c>
      <c r="I20" s="15">
        <f>I17/I15</f>
        <v>2.7975393284808638</v>
      </c>
      <c r="J20" s="15">
        <f>J17/J15</f>
        <v>2.7965256209638345</v>
      </c>
      <c r="K20" s="15">
        <f>+J13:J20-I20</f>
        <v>-1.0137075170293386E-3</v>
      </c>
      <c r="L20" s="16">
        <f t="shared" si="7"/>
        <v>-3.6235684221097542E-4</v>
      </c>
    </row>
    <row r="21" spans="2:12" x14ac:dyDescent="0.35">
      <c r="L21" s="2"/>
    </row>
    <row r="22" spans="2:12" ht="29" x14ac:dyDescent="0.35">
      <c r="B22" s="17" t="s">
        <v>14</v>
      </c>
      <c r="C22" s="3" t="s">
        <v>4</v>
      </c>
      <c r="D22" s="3" t="s">
        <v>5</v>
      </c>
      <c r="E22" s="4" t="s">
        <v>6</v>
      </c>
      <c r="F22" s="3" t="s">
        <v>7</v>
      </c>
      <c r="H22" s="17" t="s">
        <v>14</v>
      </c>
      <c r="I22" s="3" t="s">
        <v>4</v>
      </c>
      <c r="J22" s="3" t="s">
        <v>5</v>
      </c>
      <c r="K22" s="4" t="s">
        <v>6</v>
      </c>
      <c r="L22" s="3" t="s">
        <v>7</v>
      </c>
    </row>
    <row r="23" spans="2:12" x14ac:dyDescent="0.35">
      <c r="B23" s="9" t="s">
        <v>0</v>
      </c>
      <c r="C23" s="10">
        <v>5391645</v>
      </c>
      <c r="D23" s="10">
        <v>5796645</v>
      </c>
      <c r="E23" s="10">
        <f>+D23-C23</f>
        <v>405000</v>
      </c>
      <c r="F23" s="11">
        <f>E23/C23</f>
        <v>7.511622148713426E-2</v>
      </c>
      <c r="H23" s="9" t="s">
        <v>0</v>
      </c>
      <c r="I23" s="10">
        <v>6321195</v>
      </c>
      <c r="J23" s="10">
        <v>6447290</v>
      </c>
      <c r="K23" s="10">
        <f>+J23-I23</f>
        <v>126095</v>
      </c>
      <c r="L23" s="11">
        <f>K23/I23</f>
        <v>1.9947968698956448E-2</v>
      </c>
    </row>
    <row r="24" spans="2:12" x14ac:dyDescent="0.35">
      <c r="B24" s="12" t="s">
        <v>1</v>
      </c>
      <c r="C24" s="5">
        <v>131567</v>
      </c>
      <c r="D24" s="5">
        <v>141567</v>
      </c>
      <c r="E24" s="5">
        <f t="shared" ref="E24:E26" si="8">+D24-C24</f>
        <v>10000</v>
      </c>
      <c r="F24" s="6">
        <f t="shared" ref="F24:F26" si="9">E24/C24</f>
        <v>7.6006901426649537E-2</v>
      </c>
      <c r="H24" s="12" t="s">
        <v>1</v>
      </c>
      <c r="I24" s="5">
        <v>152527</v>
      </c>
      <c r="J24" s="5">
        <v>153507</v>
      </c>
      <c r="K24" s="5">
        <f t="shared" ref="K24:K26" si="10">+J24-I24</f>
        <v>980</v>
      </c>
      <c r="L24" s="6">
        <f t="shared" ref="L24:L26" si="11">K24/I24</f>
        <v>6.4250919509332774E-3</v>
      </c>
    </row>
    <row r="25" spans="2:12" x14ac:dyDescent="0.35">
      <c r="B25" s="12" t="s">
        <v>2</v>
      </c>
      <c r="C25" s="5">
        <v>1897615</v>
      </c>
      <c r="D25" s="5">
        <v>2041847</v>
      </c>
      <c r="E25" s="5">
        <f t="shared" si="8"/>
        <v>144232</v>
      </c>
      <c r="F25" s="6">
        <f t="shared" si="9"/>
        <v>7.6006987718794383E-2</v>
      </c>
      <c r="H25" s="12" t="s">
        <v>2</v>
      </c>
      <c r="I25" s="5">
        <v>2447214</v>
      </c>
      <c r="J25" s="5">
        <v>2463493</v>
      </c>
      <c r="K25" s="5">
        <f t="shared" si="10"/>
        <v>16279</v>
      </c>
      <c r="L25" s="6">
        <f t="shared" si="11"/>
        <v>6.652054131759625E-3</v>
      </c>
    </row>
    <row r="26" spans="2:12" x14ac:dyDescent="0.35">
      <c r="B26" s="13" t="s">
        <v>3</v>
      </c>
      <c r="C26" s="7">
        <v>281845</v>
      </c>
      <c r="D26" s="7">
        <v>303267</v>
      </c>
      <c r="E26" s="7">
        <f t="shared" si="8"/>
        <v>21422</v>
      </c>
      <c r="F26" s="8">
        <f t="shared" si="9"/>
        <v>7.6006315528038465E-2</v>
      </c>
      <c r="H26" s="13" t="s">
        <v>3</v>
      </c>
      <c r="I26" s="7">
        <v>319914</v>
      </c>
      <c r="J26" s="7">
        <v>321975</v>
      </c>
      <c r="K26" s="7">
        <f t="shared" si="10"/>
        <v>2061</v>
      </c>
      <c r="L26" s="8">
        <f t="shared" si="11"/>
        <v>6.4423563832780063E-3</v>
      </c>
    </row>
    <row r="27" spans="2:12" x14ac:dyDescent="0.35">
      <c r="L27" s="2"/>
    </row>
    <row r="28" spans="2:12" x14ac:dyDescent="0.35">
      <c r="B28" s="14" t="s">
        <v>8</v>
      </c>
      <c r="C28" s="15">
        <f>C25/C24</f>
        <v>14.423183625073156</v>
      </c>
      <c r="D28" s="15">
        <f>D25/D24</f>
        <v>14.423184781764112</v>
      </c>
      <c r="E28" s="15">
        <f>+D21:D28-C28</f>
        <v>1.1566909563498484E-6</v>
      </c>
      <c r="F28" s="16">
        <f t="shared" ref="F28:F29" si="12">E28/C28</f>
        <v>8.0196646345059729E-8</v>
      </c>
      <c r="H28" s="14" t="s">
        <v>8</v>
      </c>
      <c r="I28" s="15">
        <f>I25/I24</f>
        <v>16.04446425878697</v>
      </c>
      <c r="J28" s="15">
        <f>J25/J24</f>
        <v>16.048082497866545</v>
      </c>
      <c r="K28" s="15">
        <f>+J21:J28-I28</f>
        <v>3.6182390795751473E-3</v>
      </c>
      <c r="L28" s="16">
        <f t="shared" ref="L28:L29" si="13">K28/I28</f>
        <v>2.2551323753883332E-4</v>
      </c>
    </row>
    <row r="29" spans="2:12" x14ac:dyDescent="0.35">
      <c r="B29" s="14" t="s">
        <v>9</v>
      </c>
      <c r="C29" s="15">
        <f>C26/C24</f>
        <v>2.1422165132594038</v>
      </c>
      <c r="D29" s="15">
        <f>D26/D24</f>
        <v>2.1422153467969229</v>
      </c>
      <c r="E29" s="15">
        <f>+D22:D29-C29</f>
        <v>-1.1664624808283008E-6</v>
      </c>
      <c r="F29" s="16">
        <f t="shared" si="12"/>
        <v>-5.4451194527182342E-7</v>
      </c>
      <c r="H29" s="14" t="s">
        <v>9</v>
      </c>
      <c r="I29" s="15">
        <f>I26/I24</f>
        <v>2.0974253738682331</v>
      </c>
      <c r="J29" s="15">
        <f>J26/J24</f>
        <v>2.0974613535539097</v>
      </c>
      <c r="K29" s="15">
        <f>+J22:J29-I29</f>
        <v>3.5979685676590378E-5</v>
      </c>
      <c r="L29" s="16">
        <f t="shared" si="13"/>
        <v>1.7154214936493248E-5</v>
      </c>
    </row>
    <row r="30" spans="2:12" x14ac:dyDescent="0.35">
      <c r="L30" s="2"/>
    </row>
    <row r="31" spans="2:12" ht="29" x14ac:dyDescent="0.35">
      <c r="B31" s="17" t="s">
        <v>17</v>
      </c>
      <c r="C31" s="3" t="s">
        <v>4</v>
      </c>
      <c r="D31" s="3" t="s">
        <v>5</v>
      </c>
      <c r="E31" s="4" t="s">
        <v>6</v>
      </c>
      <c r="F31" s="3" t="s">
        <v>7</v>
      </c>
      <c r="H31" s="17" t="s">
        <v>15</v>
      </c>
      <c r="I31" s="3" t="s">
        <v>4</v>
      </c>
      <c r="J31" s="3" t="s">
        <v>5</v>
      </c>
      <c r="K31" s="4" t="s">
        <v>6</v>
      </c>
      <c r="L31" s="3" t="s">
        <v>7</v>
      </c>
    </row>
    <row r="32" spans="2:12" x14ac:dyDescent="0.35">
      <c r="B32" s="9" t="s">
        <v>0</v>
      </c>
      <c r="C32" s="10">
        <v>1060740</v>
      </c>
      <c r="D32" s="10">
        <v>1060740</v>
      </c>
      <c r="E32" s="10">
        <f>+D32-C32</f>
        <v>0</v>
      </c>
      <c r="F32" s="11">
        <f>E32/C32</f>
        <v>0</v>
      </c>
      <c r="H32" s="9" t="s">
        <v>0</v>
      </c>
      <c r="I32" s="10">
        <v>2763190</v>
      </c>
      <c r="J32" s="10">
        <v>2740968</v>
      </c>
      <c r="K32" s="10">
        <f>+J32-I32</f>
        <v>-22222</v>
      </c>
      <c r="L32" s="11">
        <f>K32/I32</f>
        <v>-8.0421541768752776E-3</v>
      </c>
    </row>
    <row r="33" spans="2:12" x14ac:dyDescent="0.35">
      <c r="B33" s="12" t="s">
        <v>1</v>
      </c>
      <c r="C33" s="5">
        <v>26064</v>
      </c>
      <c r="D33" s="5">
        <v>26064</v>
      </c>
      <c r="E33" s="5">
        <f t="shared" ref="E33:E35" si="14">+D33-C33</f>
        <v>0</v>
      </c>
      <c r="F33" s="6">
        <f t="shared" ref="F33:F35" si="15">E33/C33</f>
        <v>0</v>
      </c>
      <c r="H33" s="12" t="s">
        <v>1</v>
      </c>
      <c r="I33" s="5">
        <v>64615</v>
      </c>
      <c r="J33" s="5">
        <v>65261</v>
      </c>
      <c r="K33" s="5">
        <f t="shared" ref="K33:K35" si="16">+J33-I33</f>
        <v>646</v>
      </c>
      <c r="L33" s="6">
        <f t="shared" ref="L33:L35" si="17">K33/I33</f>
        <v>9.9976785576104624E-3</v>
      </c>
    </row>
    <row r="34" spans="2:12" x14ac:dyDescent="0.35">
      <c r="B34" s="12" t="s">
        <v>2</v>
      </c>
      <c r="C34" s="5">
        <v>408147</v>
      </c>
      <c r="D34" s="5">
        <v>408147</v>
      </c>
      <c r="E34" s="5">
        <f t="shared" si="14"/>
        <v>0</v>
      </c>
      <c r="F34" s="6">
        <f t="shared" si="15"/>
        <v>0</v>
      </c>
      <c r="H34" s="12" t="s">
        <v>2</v>
      </c>
      <c r="I34" s="5">
        <v>1162115</v>
      </c>
      <c r="J34" s="5">
        <v>1176345</v>
      </c>
      <c r="K34" s="5">
        <f t="shared" si="16"/>
        <v>14230</v>
      </c>
      <c r="L34" s="6">
        <f t="shared" si="17"/>
        <v>1.2244915520408909E-2</v>
      </c>
    </row>
    <row r="35" spans="2:12" x14ac:dyDescent="0.35">
      <c r="B35" s="13" t="s">
        <v>3</v>
      </c>
      <c r="C35" s="7">
        <v>79764</v>
      </c>
      <c r="D35" s="7">
        <v>79764</v>
      </c>
      <c r="E35" s="7">
        <f t="shared" si="14"/>
        <v>0</v>
      </c>
      <c r="F35" s="8">
        <f t="shared" si="15"/>
        <v>0</v>
      </c>
      <c r="H35" s="13" t="s">
        <v>3</v>
      </c>
      <c r="I35" s="7">
        <v>177230</v>
      </c>
      <c r="J35" s="7">
        <v>179104</v>
      </c>
      <c r="K35" s="7">
        <f t="shared" si="16"/>
        <v>1874</v>
      </c>
      <c r="L35" s="8">
        <f t="shared" si="17"/>
        <v>1.0573830615584269E-2</v>
      </c>
    </row>
    <row r="36" spans="2:12" x14ac:dyDescent="0.35">
      <c r="L36" s="2"/>
    </row>
    <row r="37" spans="2:12" x14ac:dyDescent="0.35">
      <c r="B37" s="14" t="s">
        <v>8</v>
      </c>
      <c r="C37" s="15">
        <f>C34/C33</f>
        <v>15.659415285451198</v>
      </c>
      <c r="D37" s="15">
        <f>D34/D33</f>
        <v>15.659415285451198</v>
      </c>
      <c r="E37" s="15">
        <f>+D30:D37-C37</f>
        <v>0</v>
      </c>
      <c r="F37" s="16">
        <f t="shared" ref="F37:F38" si="18">E37/C37</f>
        <v>0</v>
      </c>
      <c r="H37" s="14" t="s">
        <v>8</v>
      </c>
      <c r="I37" s="15">
        <f>I34/I33</f>
        <v>17.98522015011994</v>
      </c>
      <c r="J37" s="15">
        <f>J34/J33</f>
        <v>18.025237124775899</v>
      </c>
      <c r="K37" s="15">
        <f>+J30:J37-I37</f>
        <v>4.0016974655959103E-2</v>
      </c>
      <c r="L37" s="16">
        <f t="shared" ref="L37:L38" si="19">K37/I37</f>
        <v>2.224992205930392E-3</v>
      </c>
    </row>
    <row r="38" spans="2:12" x14ac:dyDescent="0.35">
      <c r="B38" s="14" t="s">
        <v>9</v>
      </c>
      <c r="C38" s="15">
        <f>C35/C33</f>
        <v>3.0603130755064458</v>
      </c>
      <c r="D38" s="15">
        <f>D35/D33</f>
        <v>3.0603130755064458</v>
      </c>
      <c r="E38" s="15">
        <f>+D31:D38-C38</f>
        <v>0</v>
      </c>
      <c r="F38" s="16">
        <f t="shared" si="18"/>
        <v>0</v>
      </c>
      <c r="H38" s="14" t="s">
        <v>9</v>
      </c>
      <c r="I38" s="15">
        <f>I35/I33</f>
        <v>2.7428615646521703</v>
      </c>
      <c r="J38" s="15">
        <f>J35/J33</f>
        <v>2.7444262269962154</v>
      </c>
      <c r="K38" s="15">
        <f>+J31:J38-I38</f>
        <v>1.5646623440450647E-3</v>
      </c>
      <c r="L38" s="16">
        <f t="shared" si="19"/>
        <v>5.7044889330515075E-4</v>
      </c>
    </row>
    <row r="39" spans="2:12" x14ac:dyDescent="0.35">
      <c r="L39" s="2"/>
    </row>
    <row r="40" spans="2:12" ht="29" x14ac:dyDescent="0.35">
      <c r="B40" s="17" t="s">
        <v>16</v>
      </c>
      <c r="C40" s="3" t="s">
        <v>4</v>
      </c>
      <c r="D40" s="3" t="s">
        <v>5</v>
      </c>
      <c r="E40" s="4" t="s">
        <v>6</v>
      </c>
      <c r="F40" s="3" t="s">
        <v>7</v>
      </c>
      <c r="H40" s="17" t="s">
        <v>18</v>
      </c>
      <c r="I40" s="3" t="s">
        <v>4</v>
      </c>
      <c r="J40" s="3" t="s">
        <v>5</v>
      </c>
      <c r="K40" s="4" t="s">
        <v>6</v>
      </c>
      <c r="L40" s="3" t="s">
        <v>7</v>
      </c>
    </row>
    <row r="41" spans="2:12" x14ac:dyDescent="0.35">
      <c r="B41" s="9" t="s">
        <v>0</v>
      </c>
      <c r="C41" s="10">
        <f>+C14+C23+C32</f>
        <v>10677980</v>
      </c>
      <c r="D41" s="10">
        <f>+D14+D23+D32</f>
        <v>11406980</v>
      </c>
      <c r="E41" s="10">
        <f>+D41-C41</f>
        <v>729000</v>
      </c>
      <c r="F41" s="11">
        <f>E41/C41</f>
        <v>6.8271339710319748E-2</v>
      </c>
      <c r="H41" s="9" t="s">
        <v>0</v>
      </c>
      <c r="I41" s="10">
        <v>1567643</v>
      </c>
      <c r="J41" s="10">
        <v>1616292</v>
      </c>
      <c r="K41" s="10">
        <f>+J41-I41</f>
        <v>48649</v>
      </c>
      <c r="L41" s="11">
        <f>K41/I41</f>
        <v>3.1033213556913148E-2</v>
      </c>
    </row>
    <row r="42" spans="2:12" x14ac:dyDescent="0.35">
      <c r="B42" s="12" t="s">
        <v>1</v>
      </c>
      <c r="C42" s="5">
        <f t="shared" ref="C42:D44" si="20">+C15+C24+C33</f>
        <v>260376</v>
      </c>
      <c r="D42" s="5">
        <f t="shared" si="20"/>
        <v>278376</v>
      </c>
      <c r="E42" s="5">
        <f t="shared" ref="E42:E44" si="21">+D42-C42</f>
        <v>18000</v>
      </c>
      <c r="F42" s="6">
        <f t="shared" ref="F42:F44" si="22">E42/C42</f>
        <v>6.9130795465019823E-2</v>
      </c>
      <c r="H42" s="12" t="s">
        <v>1</v>
      </c>
      <c r="I42" s="5">
        <v>37902</v>
      </c>
      <c r="J42" s="5">
        <v>38483</v>
      </c>
      <c r="K42" s="5">
        <f t="shared" ref="K42:K44" si="23">+J42-I42</f>
        <v>581</v>
      </c>
      <c r="L42" s="6">
        <f t="shared" ref="L42:L44" si="24">K42/I42</f>
        <v>1.5329006384887342E-2</v>
      </c>
    </row>
    <row r="43" spans="2:12" x14ac:dyDescent="0.35">
      <c r="B43" s="12" t="s">
        <v>2</v>
      </c>
      <c r="C43" s="5">
        <f t="shared" si="20"/>
        <v>3681816</v>
      </c>
      <c r="D43" s="5">
        <f t="shared" si="20"/>
        <v>4000422</v>
      </c>
      <c r="E43" s="5">
        <f t="shared" si="21"/>
        <v>318606</v>
      </c>
      <c r="F43" s="6">
        <f t="shared" si="22"/>
        <v>8.65350142429714E-2</v>
      </c>
      <c r="H43" s="12" t="s">
        <v>2</v>
      </c>
      <c r="I43" s="5">
        <v>786271</v>
      </c>
      <c r="J43" s="5">
        <v>796603</v>
      </c>
      <c r="K43" s="5">
        <f t="shared" si="23"/>
        <v>10332</v>
      </c>
      <c r="L43" s="6">
        <f t="shared" si="24"/>
        <v>1.3140507534933885E-2</v>
      </c>
    </row>
    <row r="44" spans="2:12" x14ac:dyDescent="0.35">
      <c r="B44" s="13" t="s">
        <v>3</v>
      </c>
      <c r="C44" s="7">
        <f t="shared" si="20"/>
        <v>655077</v>
      </c>
      <c r="D44" s="7">
        <f t="shared" si="20"/>
        <v>715266</v>
      </c>
      <c r="E44" s="7">
        <f t="shared" si="21"/>
        <v>60189</v>
      </c>
      <c r="F44" s="8">
        <f t="shared" si="22"/>
        <v>9.1880801798872494E-2</v>
      </c>
      <c r="H44" s="13" t="s">
        <v>3</v>
      </c>
      <c r="I44" s="7">
        <v>106389</v>
      </c>
      <c r="J44" s="7">
        <v>108072</v>
      </c>
      <c r="K44" s="7">
        <f t="shared" si="23"/>
        <v>1683</v>
      </c>
      <c r="L44" s="8">
        <f t="shared" si="24"/>
        <v>1.5819304627358092E-2</v>
      </c>
    </row>
    <row r="45" spans="2:12" x14ac:dyDescent="0.35">
      <c r="L45" s="2"/>
    </row>
    <row r="46" spans="2:12" x14ac:dyDescent="0.35">
      <c r="B46" s="14" t="s">
        <v>8</v>
      </c>
      <c r="C46" s="15">
        <f>C43/C42</f>
        <v>14.140381601990967</v>
      </c>
      <c r="D46" s="15">
        <f>D43/D42</f>
        <v>14.370570738856799</v>
      </c>
      <c r="E46" s="15">
        <f>+D39:D46-C46</f>
        <v>0.23018913686583176</v>
      </c>
      <c r="F46" s="16">
        <f t="shared" ref="F46:F47" si="25">E46/C46</f>
        <v>1.627884899749955E-2</v>
      </c>
      <c r="H46" s="14" t="s">
        <v>8</v>
      </c>
      <c r="I46" s="15">
        <f>I43/I42</f>
        <v>20.744841960846394</v>
      </c>
      <c r="J46" s="15">
        <f>J43/J42</f>
        <v>20.700127328950444</v>
      </c>
      <c r="K46" s="15">
        <f>+J39:J46-I46</f>
        <v>-4.4714631895949708E-2</v>
      </c>
      <c r="L46" s="16">
        <f t="shared" ref="L46:L47" si="26">K46/I46</f>
        <v>-2.1554578232190758E-3</v>
      </c>
    </row>
    <row r="47" spans="2:12" x14ac:dyDescent="0.35">
      <c r="B47" s="14" t="s">
        <v>9</v>
      </c>
      <c r="C47" s="15">
        <f>C44/C42</f>
        <v>2.5158885611577104</v>
      </c>
      <c r="D47" s="15">
        <f>D44/D42</f>
        <v>2.5694240882834727</v>
      </c>
      <c r="E47" s="15">
        <f>+D40:D47-C47</f>
        <v>5.3535527125762261E-2</v>
      </c>
      <c r="F47" s="16">
        <f t="shared" si="25"/>
        <v>2.1278973938785018E-2</v>
      </c>
      <c r="H47" s="14" t="s">
        <v>9</v>
      </c>
      <c r="I47" s="15">
        <f>I44/I42</f>
        <v>2.8069495013455756</v>
      </c>
      <c r="J47" s="15">
        <f>J44/J42</f>
        <v>2.8083049658290675</v>
      </c>
      <c r="K47" s="15">
        <f>+J40:J47-I47</f>
        <v>1.3554644834918861E-3</v>
      </c>
      <c r="L47" s="16">
        <f t="shared" si="26"/>
        <v>4.8289592771160047E-4</v>
      </c>
    </row>
    <row r="49" spans="3:12" ht="29" x14ac:dyDescent="0.35">
      <c r="H49" s="17" t="s">
        <v>16</v>
      </c>
      <c r="I49" s="3" t="s">
        <v>4</v>
      </c>
      <c r="J49" s="3" t="s">
        <v>5</v>
      </c>
      <c r="K49" s="4" t="s">
        <v>6</v>
      </c>
      <c r="L49" s="3" t="s">
        <v>7</v>
      </c>
    </row>
    <row r="50" spans="3:12" x14ac:dyDescent="0.35">
      <c r="H50" s="9" t="s">
        <v>0</v>
      </c>
      <c r="I50" s="10">
        <f>+I14+I23+I32+I41</f>
        <v>15120536</v>
      </c>
      <c r="J50" s="10">
        <f>+J14+J23+J32+J41</f>
        <v>16092062</v>
      </c>
      <c r="K50" s="10">
        <f>+J50-I50</f>
        <v>971526</v>
      </c>
      <c r="L50" s="11">
        <f>K50/I50</f>
        <v>6.4252087359866081E-2</v>
      </c>
    </row>
    <row r="51" spans="3:12" x14ac:dyDescent="0.35">
      <c r="H51" s="12" t="s">
        <v>1</v>
      </c>
      <c r="I51" s="5">
        <f t="shared" ref="I51:J51" si="27">+I15+I24+I33+I42</f>
        <v>361519</v>
      </c>
      <c r="J51" s="5">
        <f t="shared" si="27"/>
        <v>383144</v>
      </c>
      <c r="K51" s="5">
        <f t="shared" ref="K51:K53" si="28">+J51-I51</f>
        <v>21625</v>
      </c>
      <c r="L51" s="6">
        <f t="shared" ref="L51:L53" si="29">K51/I51</f>
        <v>5.9817049726293779E-2</v>
      </c>
    </row>
    <row r="52" spans="3:12" x14ac:dyDescent="0.35">
      <c r="H52" s="12" t="s">
        <v>2</v>
      </c>
      <c r="I52" s="5">
        <f t="shared" ref="I52:J52" si="30">+I16+I25+I34+I43</f>
        <v>6097379</v>
      </c>
      <c r="J52" s="5">
        <f t="shared" si="30"/>
        <v>6446803</v>
      </c>
      <c r="K52" s="5">
        <f t="shared" si="28"/>
        <v>349424</v>
      </c>
      <c r="L52" s="6">
        <f t="shared" si="29"/>
        <v>5.7307246277457903E-2</v>
      </c>
    </row>
    <row r="53" spans="3:12" x14ac:dyDescent="0.35">
      <c r="H53" s="13" t="s">
        <v>3</v>
      </c>
      <c r="I53" s="7">
        <f t="shared" ref="I53:J53" si="31">+I17+I26+I35+I44</f>
        <v>901401</v>
      </c>
      <c r="J53" s="7">
        <f t="shared" si="31"/>
        <v>961214</v>
      </c>
      <c r="K53" s="7">
        <f t="shared" si="28"/>
        <v>59813</v>
      </c>
      <c r="L53" s="8">
        <f t="shared" si="29"/>
        <v>6.6355595345467783E-2</v>
      </c>
    </row>
    <row r="54" spans="3:12" x14ac:dyDescent="0.35">
      <c r="L54" s="2"/>
    </row>
    <row r="55" spans="3:12" x14ac:dyDescent="0.35">
      <c r="H55" s="14" t="s">
        <v>8</v>
      </c>
      <c r="I55" s="15">
        <f>I52/I51</f>
        <v>16.865998744187721</v>
      </c>
      <c r="J55" s="15">
        <f>J52/J51</f>
        <v>16.826057565823817</v>
      </c>
      <c r="K55" s="15">
        <f>+J48:J55-I55</f>
        <v>-3.9941178363903873E-2</v>
      </c>
      <c r="L55" s="16">
        <f t="shared" ref="L55:L56" si="32">K55/I55</f>
        <v>-2.368147832198091E-3</v>
      </c>
    </row>
    <row r="56" spans="3:12" x14ac:dyDescent="0.35">
      <c r="H56" s="14" t="s">
        <v>9</v>
      </c>
      <c r="I56" s="15">
        <f>I53/I51</f>
        <v>2.4933710261424711</v>
      </c>
      <c r="J56" s="15">
        <f>J53/J51</f>
        <v>2.5087538888772891</v>
      </c>
      <c r="K56" s="15">
        <f>+J49:J56-I56</f>
        <v>1.5382862734818037E-2</v>
      </c>
      <c r="L56" s="16">
        <f t="shared" si="32"/>
        <v>6.1695040864484085E-3</v>
      </c>
    </row>
    <row r="60" spans="3:12" x14ac:dyDescent="0.35">
      <c r="C60" s="18"/>
      <c r="D60" s="18"/>
    </row>
  </sheetData>
  <mergeCells count="2">
    <mergeCell ref="B11:F11"/>
    <mergeCell ref="H11:L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4"/>
  <sheetViews>
    <sheetView showGridLines="0" topLeftCell="A31" workbookViewId="0">
      <selection activeCell="G3" sqref="G3"/>
    </sheetView>
  </sheetViews>
  <sheetFormatPr baseColWidth="10" defaultRowHeight="14.5" x14ac:dyDescent="0.35"/>
  <cols>
    <col min="2" max="2" width="22" bestFit="1" customWidth="1"/>
    <col min="6" max="6" width="11.453125" style="2"/>
    <col min="8" max="8" width="22.54296875" bestFit="1" customWidth="1"/>
  </cols>
  <sheetData>
    <row r="2" spans="2:12" s="1" customFormat="1" ht="29" x14ac:dyDescent="0.35">
      <c r="C2" s="3" t="s">
        <v>4</v>
      </c>
      <c r="D2" s="3" t="s">
        <v>5</v>
      </c>
      <c r="E2" s="4" t="s">
        <v>6</v>
      </c>
      <c r="F2" s="3" t="s">
        <v>7</v>
      </c>
    </row>
    <row r="3" spans="2:12" x14ac:dyDescent="0.35">
      <c r="B3" s="9" t="s">
        <v>10</v>
      </c>
      <c r="C3" s="10">
        <f>21205976+8559386</f>
        <v>29765362</v>
      </c>
      <c r="D3" s="10">
        <f>20011830+9008231</f>
        <v>29020061</v>
      </c>
      <c r="E3" s="10">
        <f>+D3-C3</f>
        <v>-745301</v>
      </c>
      <c r="F3" s="11">
        <f>E3/C3</f>
        <v>-2.5039204965825713E-2</v>
      </c>
      <c r="H3" s="19"/>
      <c r="I3" s="19"/>
    </row>
    <row r="4" spans="2:12" x14ac:dyDescent="0.35">
      <c r="B4" s="12" t="s">
        <v>11</v>
      </c>
      <c r="C4" s="5">
        <v>314072</v>
      </c>
      <c r="D4" s="5">
        <v>315525</v>
      </c>
      <c r="E4" s="5">
        <f t="shared" ref="E4:E5" si="0">+D4-C4</f>
        <v>1453</v>
      </c>
      <c r="F4" s="6">
        <f t="shared" ref="F4:F7" si="1">E4/C4</f>
        <v>4.6263277210321198E-3</v>
      </c>
      <c r="H4" s="19"/>
      <c r="I4" s="19"/>
    </row>
    <row r="5" spans="2:12" x14ac:dyDescent="0.35">
      <c r="B5" s="13" t="s">
        <v>3</v>
      </c>
      <c r="C5" s="7">
        <f>3629115+1493295</f>
        <v>5122410</v>
      </c>
      <c r="D5" s="7">
        <f>3636741+1527305</f>
        <v>5164046</v>
      </c>
      <c r="E5" s="7">
        <f t="shared" si="0"/>
        <v>41636</v>
      </c>
      <c r="F5" s="8">
        <f t="shared" si="1"/>
        <v>8.1282052783748279E-3</v>
      </c>
      <c r="H5" s="19"/>
      <c r="I5" s="19"/>
    </row>
    <row r="7" spans="2:12" x14ac:dyDescent="0.35">
      <c r="B7" s="14" t="s">
        <v>12</v>
      </c>
      <c r="C7" s="15">
        <f>C5/C4</f>
        <v>16.309667846863139</v>
      </c>
      <c r="D7" s="15">
        <f>D5/D4</f>
        <v>16.366519293241424</v>
      </c>
      <c r="E7" s="15">
        <f>+D2:D7-C7</f>
        <v>5.6851446378285431E-2</v>
      </c>
      <c r="F7" s="16">
        <f t="shared" si="1"/>
        <v>3.4857513293392881E-3</v>
      </c>
    </row>
    <row r="9" spans="2:12" x14ac:dyDescent="0.35">
      <c r="B9" s="20" t="s">
        <v>19</v>
      </c>
      <c r="C9" s="21"/>
      <c r="D9" s="21"/>
      <c r="E9" s="21"/>
      <c r="F9" s="22"/>
      <c r="H9" s="20" t="s">
        <v>20</v>
      </c>
      <c r="I9" s="21"/>
      <c r="J9" s="21"/>
      <c r="K9" s="21"/>
      <c r="L9" s="22"/>
    </row>
    <row r="11" spans="2:12" ht="29" x14ac:dyDescent="0.35">
      <c r="B11" s="17" t="s">
        <v>21</v>
      </c>
      <c r="C11" s="3" t="s">
        <v>4</v>
      </c>
      <c r="D11" s="3" t="s">
        <v>5</v>
      </c>
      <c r="E11" s="4" t="s">
        <v>6</v>
      </c>
      <c r="F11" s="3" t="s">
        <v>7</v>
      </c>
      <c r="H11" s="17" t="s">
        <v>21</v>
      </c>
      <c r="I11" s="3" t="s">
        <v>4</v>
      </c>
      <c r="J11" s="3" t="s">
        <v>5</v>
      </c>
      <c r="K11" s="4" t="s">
        <v>6</v>
      </c>
      <c r="L11" s="3" t="s">
        <v>7</v>
      </c>
    </row>
    <row r="12" spans="2:12" x14ac:dyDescent="0.35">
      <c r="B12" s="9" t="s">
        <v>10</v>
      </c>
      <c r="C12" s="10">
        <f>3077240+1442201</f>
        <v>4519441</v>
      </c>
      <c r="D12" s="10">
        <f>3039180+1431991</f>
        <v>4471171</v>
      </c>
      <c r="E12" s="10">
        <f>+D12-C12</f>
        <v>-48270</v>
      </c>
      <c r="F12" s="11">
        <f>E12/C12</f>
        <v>-1.0680524427689176E-2</v>
      </c>
      <c r="H12" s="9" t="s">
        <v>10</v>
      </c>
      <c r="I12" s="10">
        <f>3142367+1092714</f>
        <v>4235081</v>
      </c>
      <c r="J12" s="10">
        <f>2825504+1210930</f>
        <v>4036434</v>
      </c>
      <c r="K12" s="10">
        <f>+J12-I12</f>
        <v>-198647</v>
      </c>
      <c r="L12" s="11">
        <f>K12/I12</f>
        <v>-4.6905124128676638E-2</v>
      </c>
    </row>
    <row r="13" spans="2:12" x14ac:dyDescent="0.35">
      <c r="B13" s="12" t="s">
        <v>11</v>
      </c>
      <c r="C13" s="5">
        <v>45500</v>
      </c>
      <c r="D13" s="5">
        <v>45500</v>
      </c>
      <c r="E13" s="5">
        <f t="shared" ref="E13:E14" si="2">+D13-C13</f>
        <v>0</v>
      </c>
      <c r="F13" s="6">
        <f t="shared" ref="F13:F14" si="3">E13/C13</f>
        <v>0</v>
      </c>
      <c r="H13" s="12" t="s">
        <v>11</v>
      </c>
      <c r="I13" s="5">
        <v>48044</v>
      </c>
      <c r="J13" s="5">
        <v>47785</v>
      </c>
      <c r="K13" s="5">
        <f t="shared" ref="K13:K14" si="4">+J13-I13</f>
        <v>-259</v>
      </c>
      <c r="L13" s="6">
        <f t="shared" ref="L13:L14" si="5">K13/I13</f>
        <v>-5.390891682624261E-3</v>
      </c>
    </row>
    <row r="14" spans="2:12" x14ac:dyDescent="0.35">
      <c r="B14" s="13" t="s">
        <v>3</v>
      </c>
      <c r="C14" s="7">
        <f>699599+316017</f>
        <v>1015616</v>
      </c>
      <c r="D14" s="7">
        <f>699599+316017</f>
        <v>1015616</v>
      </c>
      <c r="E14" s="7">
        <f t="shared" si="2"/>
        <v>0</v>
      </c>
      <c r="F14" s="8">
        <f t="shared" si="3"/>
        <v>0</v>
      </c>
      <c r="H14" s="13" t="s">
        <v>3</v>
      </c>
      <c r="I14" s="7">
        <f>527311+194410</f>
        <v>721721</v>
      </c>
      <c r="J14" s="7">
        <f>524607+204053</f>
        <v>728660</v>
      </c>
      <c r="K14" s="7">
        <f t="shared" si="4"/>
        <v>6939</v>
      </c>
      <c r="L14" s="8">
        <f t="shared" si="5"/>
        <v>9.6145186297752171E-3</v>
      </c>
    </row>
    <row r="15" spans="2:12" x14ac:dyDescent="0.35">
      <c r="L15" s="2"/>
    </row>
    <row r="16" spans="2:12" x14ac:dyDescent="0.35">
      <c r="B16" s="14" t="s">
        <v>12</v>
      </c>
      <c r="C16" s="15">
        <f>C14/C13</f>
        <v>22.32123076923077</v>
      </c>
      <c r="D16" s="15">
        <f>D14/D13</f>
        <v>22.32123076923077</v>
      </c>
      <c r="E16" s="15">
        <f>+D11:D16-C16</f>
        <v>0</v>
      </c>
      <c r="F16" s="16">
        <f t="shared" ref="F16" si="6">E16/C16</f>
        <v>0</v>
      </c>
      <c r="H16" s="14" t="s">
        <v>12</v>
      </c>
      <c r="I16" s="15">
        <f>I14/I13</f>
        <v>15.022083923070518</v>
      </c>
      <c r="J16" s="15">
        <f>J14/J13</f>
        <v>15.248718217013707</v>
      </c>
      <c r="K16" s="15">
        <f>+J11:J16-I16</f>
        <v>0.22663429394318868</v>
      </c>
      <c r="L16" s="16">
        <f t="shared" ref="L16" si="7">K16/I16</f>
        <v>1.5086741300594769E-2</v>
      </c>
    </row>
    <row r="18" spans="2:12" ht="29" x14ac:dyDescent="0.35">
      <c r="B18" s="17" t="s">
        <v>22</v>
      </c>
      <c r="C18" s="3" t="s">
        <v>4</v>
      </c>
      <c r="D18" s="3" t="s">
        <v>5</v>
      </c>
      <c r="E18" s="4" t="s">
        <v>6</v>
      </c>
      <c r="F18" s="3" t="s">
        <v>7</v>
      </c>
      <c r="H18" s="17" t="s">
        <v>22</v>
      </c>
      <c r="I18" s="3" t="s">
        <v>4</v>
      </c>
      <c r="J18" s="3" t="s">
        <v>5</v>
      </c>
      <c r="K18" s="4" t="s">
        <v>6</v>
      </c>
      <c r="L18" s="3" t="s">
        <v>7</v>
      </c>
    </row>
    <row r="19" spans="2:12" x14ac:dyDescent="0.35">
      <c r="B19" s="9" t="s">
        <v>10</v>
      </c>
      <c r="C19" s="10">
        <f>3349800+1659645</f>
        <v>5009445</v>
      </c>
      <c r="D19" s="10">
        <f>3206115+1588641</f>
        <v>4794756</v>
      </c>
      <c r="E19" s="10">
        <f>+D19-C19</f>
        <v>-214689</v>
      </c>
      <c r="F19" s="11">
        <f>E19/C19</f>
        <v>-4.2856843422774377E-2</v>
      </c>
      <c r="H19" s="9" t="s">
        <v>10</v>
      </c>
      <c r="I19" s="10">
        <f>3462810+1198267</f>
        <v>4661077</v>
      </c>
      <c r="J19" s="10">
        <f>2996058+1284025</f>
        <v>4280083</v>
      </c>
      <c r="K19" s="10">
        <f>+J19-I19</f>
        <v>-380994</v>
      </c>
      <c r="L19" s="11">
        <f>K19/I19</f>
        <v>-8.1739477807382291E-2</v>
      </c>
    </row>
    <row r="20" spans="2:12" x14ac:dyDescent="0.35">
      <c r="B20" s="12" t="s">
        <v>11</v>
      </c>
      <c r="C20" s="5">
        <v>49530</v>
      </c>
      <c r="D20" s="5">
        <v>48029.5</v>
      </c>
      <c r="E20" s="5">
        <f t="shared" ref="E20:E21" si="8">+D20-C20</f>
        <v>-1500.5</v>
      </c>
      <c r="F20" s="6">
        <f t="shared" ref="F20:F21" si="9">E20/C20</f>
        <v>-3.0294770845951949E-2</v>
      </c>
      <c r="H20" s="12" t="s">
        <v>11</v>
      </c>
      <c r="I20" s="5">
        <v>52533</v>
      </c>
      <c r="J20" s="5">
        <v>50475</v>
      </c>
      <c r="K20" s="5">
        <f t="shared" ref="K20:K21" si="10">+J20-I20</f>
        <v>-2058</v>
      </c>
      <c r="L20" s="6">
        <f t="shared" ref="L20:L21" si="11">K20/I20</f>
        <v>-3.9175375478270803E-2</v>
      </c>
    </row>
    <row r="21" spans="2:12" x14ac:dyDescent="0.35">
      <c r="B21" s="13" t="s">
        <v>3</v>
      </c>
      <c r="C21" s="7">
        <f>646325+329474</f>
        <v>975799</v>
      </c>
      <c r="D21" s="7">
        <f>627500+318664</f>
        <v>946164</v>
      </c>
      <c r="E21" s="7">
        <f t="shared" si="8"/>
        <v>-29635</v>
      </c>
      <c r="F21" s="8">
        <f t="shared" si="9"/>
        <v>-3.0369983982357022E-2</v>
      </c>
      <c r="H21" s="13" t="s">
        <v>3</v>
      </c>
      <c r="I21" s="7">
        <f>458196+176735</f>
        <v>634931</v>
      </c>
      <c r="J21" s="7">
        <f>440559+179286</f>
        <v>619845</v>
      </c>
      <c r="K21" s="7">
        <f t="shared" si="10"/>
        <v>-15086</v>
      </c>
      <c r="L21" s="8">
        <f t="shared" si="11"/>
        <v>-2.376006211698594E-2</v>
      </c>
    </row>
    <row r="22" spans="2:12" x14ac:dyDescent="0.35">
      <c r="L22" s="2"/>
    </row>
    <row r="23" spans="2:12" x14ac:dyDescent="0.35">
      <c r="B23" s="14" t="s">
        <v>12</v>
      </c>
      <c r="C23" s="15">
        <f>C21/C20</f>
        <v>19.701171007470219</v>
      </c>
      <c r="D23" s="15">
        <f>D21/D20</f>
        <v>19.699642927783966</v>
      </c>
      <c r="E23" s="15">
        <f>+D18:D23-C23</f>
        <v>-1.5280796862526813E-3</v>
      </c>
      <c r="F23" s="16">
        <f t="shared" ref="F23" si="12">E23/C23</f>
        <v>-7.756288627073333E-5</v>
      </c>
      <c r="H23" s="14" t="s">
        <v>12</v>
      </c>
      <c r="I23" s="15">
        <f>I21/I20</f>
        <v>12.086326689890164</v>
      </c>
      <c r="J23" s="15">
        <f>J21/J20</f>
        <v>12.280237741456167</v>
      </c>
      <c r="K23" s="15">
        <f>+J18:J23-I23</f>
        <v>0.19391105156600297</v>
      </c>
      <c r="L23" s="16">
        <f t="shared" ref="L23" si="13">K23/I23</f>
        <v>1.6043836687635087E-2</v>
      </c>
    </row>
    <row r="25" spans="2:12" ht="29" x14ac:dyDescent="0.35">
      <c r="B25" s="17" t="s">
        <v>23</v>
      </c>
      <c r="C25" s="3" t="s">
        <v>4</v>
      </c>
      <c r="D25" s="3" t="s">
        <v>5</v>
      </c>
      <c r="E25" s="4" t="s">
        <v>6</v>
      </c>
      <c r="F25" s="3" t="s">
        <v>7</v>
      </c>
      <c r="H25" s="17" t="s">
        <v>25</v>
      </c>
      <c r="I25" s="3" t="s">
        <v>4</v>
      </c>
      <c r="J25" s="3" t="s">
        <v>5</v>
      </c>
      <c r="K25" s="4" t="s">
        <v>6</v>
      </c>
      <c r="L25" s="3" t="s">
        <v>7</v>
      </c>
    </row>
    <row r="26" spans="2:12" x14ac:dyDescent="0.35">
      <c r="B26" s="9" t="s">
        <v>10</v>
      </c>
      <c r="C26" s="10">
        <f>2686810+1248140</f>
        <v>3934950</v>
      </c>
      <c r="D26" s="10">
        <f>2686810+1248140</f>
        <v>3934950</v>
      </c>
      <c r="E26" s="10">
        <f>+D26-C26</f>
        <v>0</v>
      </c>
      <c r="F26" s="11">
        <f>E26/C26</f>
        <v>0</v>
      </c>
      <c r="H26" s="9" t="s">
        <v>10</v>
      </c>
      <c r="I26" s="10">
        <f>4247057+1509626</f>
        <v>5756683</v>
      </c>
      <c r="J26" s="10">
        <f>3526238+1502250</f>
        <v>5028488</v>
      </c>
      <c r="K26" s="10">
        <f>+J26-I26</f>
        <v>-728195</v>
      </c>
      <c r="L26" s="11">
        <f>K26/I26</f>
        <v>-0.12649558782375198</v>
      </c>
    </row>
    <row r="27" spans="2:12" x14ac:dyDescent="0.35">
      <c r="B27" s="12" t="s">
        <v>11</v>
      </c>
      <c r="C27" s="5">
        <v>38650</v>
      </c>
      <c r="D27" s="5">
        <v>38650</v>
      </c>
      <c r="E27" s="5">
        <f t="shared" ref="E27:E28" si="14">+D27-C27</f>
        <v>0</v>
      </c>
      <c r="F27" s="6">
        <f t="shared" ref="F27:F28" si="15">E27/C27</f>
        <v>0</v>
      </c>
      <c r="H27" s="12" t="s">
        <v>11</v>
      </c>
      <c r="I27" s="5">
        <v>61333</v>
      </c>
      <c r="J27" s="5">
        <v>55845</v>
      </c>
      <c r="K27" s="5">
        <f t="shared" ref="K27:K28" si="16">+J27-I27</f>
        <v>-5488</v>
      </c>
      <c r="L27" s="6">
        <f t="shared" ref="L27:L28" si="17">K27/I27</f>
        <v>-8.9478747167104175E-2</v>
      </c>
    </row>
    <row r="28" spans="2:12" x14ac:dyDescent="0.35">
      <c r="B28" s="13" t="s">
        <v>3</v>
      </c>
      <c r="C28" s="7">
        <f>567394+230283</f>
        <v>797677</v>
      </c>
      <c r="D28" s="7">
        <f>567394+230283</f>
        <v>797677</v>
      </c>
      <c r="E28" s="7">
        <f t="shared" si="14"/>
        <v>0</v>
      </c>
      <c r="F28" s="8">
        <f t="shared" si="15"/>
        <v>0</v>
      </c>
      <c r="H28" s="13" t="s">
        <v>3</v>
      </c>
      <c r="I28" s="7">
        <f>565638+189319</f>
        <v>754957</v>
      </c>
      <c r="J28" s="7">
        <f>515961+183327</f>
        <v>699288</v>
      </c>
      <c r="K28" s="7">
        <f t="shared" si="16"/>
        <v>-55669</v>
      </c>
      <c r="L28" s="8">
        <f t="shared" si="17"/>
        <v>-7.3737974480665783E-2</v>
      </c>
    </row>
    <row r="29" spans="2:12" x14ac:dyDescent="0.35">
      <c r="L29" s="2"/>
    </row>
    <row r="30" spans="2:12" x14ac:dyDescent="0.35">
      <c r="B30" s="14" t="s">
        <v>12</v>
      </c>
      <c r="C30" s="15">
        <f>C28/C27</f>
        <v>20.638473479948253</v>
      </c>
      <c r="D30" s="15">
        <f>D28/D27</f>
        <v>20.638473479948253</v>
      </c>
      <c r="E30" s="15">
        <f>+D25:D30-C30</f>
        <v>0</v>
      </c>
      <c r="F30" s="16">
        <f t="shared" ref="F30" si="18">E30/C30</f>
        <v>0</v>
      </c>
      <c r="H30" s="14" t="s">
        <v>12</v>
      </c>
      <c r="I30" s="15">
        <f>I28/I27</f>
        <v>12.309148419284888</v>
      </c>
      <c r="J30" s="15">
        <f>J28/J27</f>
        <v>12.52194466827827</v>
      </c>
      <c r="K30" s="15">
        <f>+J25:J30-I30</f>
        <v>0.21279624899338145</v>
      </c>
      <c r="L30" s="16">
        <f t="shared" ref="L30" si="19">K30/I30</f>
        <v>1.7287649944978407E-2</v>
      </c>
    </row>
    <row r="32" spans="2:12" ht="29" x14ac:dyDescent="0.35">
      <c r="B32" s="17" t="s">
        <v>24</v>
      </c>
      <c r="C32" s="3" t="s">
        <v>4</v>
      </c>
      <c r="D32" s="3" t="s">
        <v>5</v>
      </c>
      <c r="E32" s="4" t="s">
        <v>6</v>
      </c>
      <c r="F32" s="3" t="s">
        <v>7</v>
      </c>
      <c r="H32" s="17" t="s">
        <v>26</v>
      </c>
      <c r="I32" s="3" t="s">
        <v>4</v>
      </c>
      <c r="J32" s="3" t="s">
        <v>5</v>
      </c>
      <c r="K32" s="4" t="s">
        <v>6</v>
      </c>
      <c r="L32" s="3" t="s">
        <v>7</v>
      </c>
    </row>
    <row r="33" spans="2:12" x14ac:dyDescent="0.35">
      <c r="B33" s="9" t="s">
        <v>10</v>
      </c>
      <c r="C33" s="10">
        <f>+C12+C19+C26</f>
        <v>13463836</v>
      </c>
      <c r="D33" s="10">
        <f>+D12+D19+D26</f>
        <v>13200877</v>
      </c>
      <c r="E33" s="10">
        <f>+D33-C33</f>
        <v>-262959</v>
      </c>
      <c r="F33" s="11">
        <f>E33/C33</f>
        <v>-1.9530763743705732E-2</v>
      </c>
      <c r="H33" s="9" t="s">
        <v>10</v>
      </c>
      <c r="I33" s="10">
        <f>1239893+408793</f>
        <v>1648686</v>
      </c>
      <c r="J33" s="10">
        <f>1731925+742253</f>
        <v>2474178</v>
      </c>
      <c r="K33" s="10">
        <f>+J33-I33</f>
        <v>825492</v>
      </c>
      <c r="L33" s="11">
        <f>K33/I33</f>
        <v>0.5006969186370237</v>
      </c>
    </row>
    <row r="34" spans="2:12" x14ac:dyDescent="0.35">
      <c r="B34" s="12" t="s">
        <v>11</v>
      </c>
      <c r="C34" s="5">
        <f t="shared" ref="C34:D34" si="20">+C13+C20+C27</f>
        <v>133680</v>
      </c>
      <c r="D34" s="5">
        <f t="shared" si="20"/>
        <v>132179.5</v>
      </c>
      <c r="E34" s="5">
        <f t="shared" ref="E34:E35" si="21">+D34-C34</f>
        <v>-1500.5</v>
      </c>
      <c r="F34" s="6">
        <f t="shared" ref="F34:F35" si="22">E34/C34</f>
        <v>-1.1224566128067026E-2</v>
      </c>
      <c r="H34" s="12" t="s">
        <v>11</v>
      </c>
      <c r="I34" s="5">
        <v>18482</v>
      </c>
      <c r="J34" s="5">
        <v>29240</v>
      </c>
      <c r="K34" s="5">
        <f t="shared" ref="K34:K35" si="23">+J34-I34</f>
        <v>10758</v>
      </c>
      <c r="L34" s="6">
        <f t="shared" ref="L34:L35" si="24">K34/I34</f>
        <v>0.58207986148685209</v>
      </c>
    </row>
    <row r="35" spans="2:12" x14ac:dyDescent="0.35">
      <c r="B35" s="13" t="s">
        <v>3</v>
      </c>
      <c r="C35" s="7">
        <f t="shared" ref="C35:D35" si="25">+C14+C21+C28</f>
        <v>2789092</v>
      </c>
      <c r="D35" s="7">
        <f t="shared" si="25"/>
        <v>2759457</v>
      </c>
      <c r="E35" s="7">
        <f t="shared" si="21"/>
        <v>-29635</v>
      </c>
      <c r="F35" s="8">
        <f t="shared" si="22"/>
        <v>-1.0625321789313512E-2</v>
      </c>
      <c r="H35" s="13" t="s">
        <v>3</v>
      </c>
      <c r="I35" s="7">
        <f>164654+57056</f>
        <v>221710</v>
      </c>
      <c r="J35" s="7">
        <f>261121+95675</f>
        <v>356796</v>
      </c>
      <c r="K35" s="7">
        <f t="shared" si="23"/>
        <v>135086</v>
      </c>
      <c r="L35" s="8">
        <f t="shared" si="24"/>
        <v>0.60929141671552933</v>
      </c>
    </row>
    <row r="36" spans="2:12" x14ac:dyDescent="0.35">
      <c r="L36" s="2"/>
    </row>
    <row r="37" spans="2:12" x14ac:dyDescent="0.35">
      <c r="B37" s="14" t="s">
        <v>12</v>
      </c>
      <c r="C37" s="15">
        <f>C35/C34</f>
        <v>20.863943746259725</v>
      </c>
      <c r="D37" s="15">
        <f>D35/D34</f>
        <v>20.876588275791633</v>
      </c>
      <c r="E37" s="15">
        <f>+D32:D37-C37</f>
        <v>1.2644529531907978E-2</v>
      </c>
      <c r="F37" s="16">
        <f t="shared" ref="F37" si="26">E37/C37</f>
        <v>6.0604695285256221E-4</v>
      </c>
      <c r="H37" s="14" t="s">
        <v>12</v>
      </c>
      <c r="I37" s="15">
        <f>I35/I34</f>
        <v>11.995996104317715</v>
      </c>
      <c r="J37" s="15">
        <f>J35/J34</f>
        <v>12.202325581395348</v>
      </c>
      <c r="K37" s="15">
        <f>+J32:J37-I37</f>
        <v>0.20632947707763272</v>
      </c>
      <c r="L37" s="16">
        <f t="shared" ref="L37" si="27">K37/I37</f>
        <v>1.7199861960889486E-2</v>
      </c>
    </row>
    <row r="39" spans="2:12" ht="29" x14ac:dyDescent="0.35">
      <c r="H39" s="17" t="s">
        <v>24</v>
      </c>
      <c r="I39" s="3" t="s">
        <v>4</v>
      </c>
      <c r="J39" s="3" t="s">
        <v>5</v>
      </c>
      <c r="K39" s="4" t="s">
        <v>6</v>
      </c>
      <c r="L39" s="3" t="s">
        <v>7</v>
      </c>
    </row>
    <row r="40" spans="2:12" x14ac:dyDescent="0.35">
      <c r="H40" s="9" t="s">
        <v>10</v>
      </c>
      <c r="I40" s="10">
        <f>+I12+I19+I26+I33</f>
        <v>16301527</v>
      </c>
      <c r="J40" s="10">
        <f>+J12+J19+J26+J33</f>
        <v>15819183</v>
      </c>
      <c r="K40" s="10">
        <f>+J40-I40</f>
        <v>-482344</v>
      </c>
      <c r="L40" s="11">
        <f>K40/I40</f>
        <v>-2.9588884525971096E-2</v>
      </c>
    </row>
    <row r="41" spans="2:12" x14ac:dyDescent="0.35">
      <c r="H41" s="12" t="s">
        <v>11</v>
      </c>
      <c r="I41" s="5">
        <f t="shared" ref="I41:J41" si="28">+I13+I20+I27+I34</f>
        <v>180392</v>
      </c>
      <c r="J41" s="5">
        <f t="shared" si="28"/>
        <v>183345</v>
      </c>
      <c r="K41" s="5">
        <f t="shared" ref="K41:K42" si="29">+J41-I41</f>
        <v>2953</v>
      </c>
      <c r="L41" s="6">
        <f t="shared" ref="L41:L42" si="30">K41/I41</f>
        <v>1.6369905539048296E-2</v>
      </c>
    </row>
    <row r="42" spans="2:12" x14ac:dyDescent="0.35">
      <c r="H42" s="13" t="s">
        <v>3</v>
      </c>
      <c r="I42" s="7">
        <f t="shared" ref="I42:J42" si="31">+I14+I21+I28+I35</f>
        <v>2333319</v>
      </c>
      <c r="J42" s="7">
        <f t="shared" si="31"/>
        <v>2404589</v>
      </c>
      <c r="K42" s="7">
        <f t="shared" si="29"/>
        <v>71270</v>
      </c>
      <c r="L42" s="8">
        <f t="shared" si="30"/>
        <v>3.0544473344621972E-2</v>
      </c>
    </row>
    <row r="43" spans="2:12" x14ac:dyDescent="0.35">
      <c r="L43" s="2"/>
    </row>
    <row r="44" spans="2:12" x14ac:dyDescent="0.35">
      <c r="H44" s="14" t="s">
        <v>12</v>
      </c>
      <c r="I44" s="15">
        <f>I42/I41</f>
        <v>12.934714399751652</v>
      </c>
      <c r="J44" s="15">
        <f>J42/J41</f>
        <v>13.115105402383485</v>
      </c>
      <c r="K44" s="15">
        <f>+J39:J44-I44</f>
        <v>0.18039100263183272</v>
      </c>
      <c r="L44" s="16">
        <f t="shared" ref="L44" si="32">K44/I44</f>
        <v>1.3946268704262712E-2</v>
      </c>
    </row>
  </sheetData>
  <mergeCells count="2">
    <mergeCell ref="B9:F9"/>
    <mergeCell ref="H9: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Fret</vt:lpstr>
      <vt:lpstr>Passagers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Ferrando Richard</dc:creator>
  <cp:lastModifiedBy>ALBERTINI Madeleine</cp:lastModifiedBy>
  <dcterms:created xsi:type="dcterms:W3CDTF">2018-07-17T07:13:01Z</dcterms:created>
  <dcterms:modified xsi:type="dcterms:W3CDTF">2018-07-20T11:56:59Z</dcterms:modified>
</cp:coreProperties>
</file>